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hrhydraulik\"/>
    </mc:Choice>
  </mc:AlternateContent>
  <xr:revisionPtr revIDLastSave="0" documentId="13_ncr:1_{1AA12773-F0BC-456A-9072-7BEA5DD0CEA4}" xr6:coauthVersionLast="36" xr6:coauthVersionMax="36" xr10:uidLastSave="{00000000-0000-0000-0000-000000000000}"/>
  <workbookProtection lockStructure="1"/>
  <bookViews>
    <workbookView xWindow="15120" yWindow="0" windowWidth="24255" windowHeight="13755" activeTab="2" xr2:uid="{67036DCB-B6FA-4480-99C2-E270B4607ED8}"/>
  </bookViews>
  <sheets>
    <sheet name="sandrau" sheetId="2" r:id="rId1"/>
    <sheet name="Teilfüllung" sheetId="4" r:id="rId2"/>
    <sheet name="Technisch" sheetId="1" r:id="rId3"/>
  </sheets>
  <definedNames>
    <definedName name="A_11">Technisch!$D$20</definedName>
    <definedName name="A_3">Technisch!#REF!</definedName>
    <definedName name="A_31">Technisch!$D$19</definedName>
    <definedName name="A_34">sandrau!$F$21</definedName>
    <definedName name="A_4">sandrau!$F$21</definedName>
    <definedName name="A1_22">Technisch!$G$25</definedName>
    <definedName name="A1_34">sandrau!$F$22</definedName>
    <definedName name="A1_4">sandrau!$F$22</definedName>
    <definedName name="B_11">Technisch!$D$21</definedName>
    <definedName name="B_12">Technisch!$D$21</definedName>
    <definedName name="B1_22">Technisch!$G$21</definedName>
    <definedName name="B1_34">sandrau!$F$23</definedName>
    <definedName name="B1_4">sandrau!$F$23</definedName>
    <definedName name="C_11">Technisch!$D$23</definedName>
    <definedName name="C_34">sandrau!$F$27</definedName>
    <definedName name="C_35">sandrau!$F$27</definedName>
    <definedName name="C_4">sandrau!$F$25</definedName>
    <definedName name="C_43">sandrau!$F$27</definedName>
    <definedName name="C_44">sandrau!$F$25</definedName>
    <definedName name="C_45">sandrau!$F$26</definedName>
    <definedName name="D">Technisch!$C$5</definedName>
    <definedName name="D_12">Technisch!$F$18</definedName>
    <definedName name="D_22">Technisch!$F$18</definedName>
    <definedName name="D_4">sandrau!$E$19</definedName>
    <definedName name="dkr_22">Technisch!$F$20</definedName>
    <definedName name="Dr_m">Technisch!$C$18</definedName>
    <definedName name="dzk_22">Technisch!$G$20</definedName>
    <definedName name="F_22">Technisch!$G$26</definedName>
    <definedName name="F_24">Technisch!$G$30</definedName>
    <definedName name="FFr_4">sandrau!$F$19</definedName>
    <definedName name="Fkr">Technisch!#REF!</definedName>
    <definedName name="Fkr_1">Technisch!$D$17</definedName>
    <definedName name="FKR_11">Technisch!$D$17</definedName>
    <definedName name="Fkr_12">Technisch!$G$17</definedName>
    <definedName name="Fkr_22">Technisch!$F$19</definedName>
    <definedName name="Fkr_4">sandrau!$F$19</definedName>
    <definedName name="FS_22">Technisch!$G$27</definedName>
    <definedName name="G_2" comment="Erdbeschleunigung">196133</definedName>
    <definedName name="IS_0">Technisch!$C$19</definedName>
    <definedName name="ISO">Technisch!$C$17</definedName>
    <definedName name="ISO_4">sandrau!$E$20</definedName>
    <definedName name="ISP">Technisch!#REF!</definedName>
    <definedName name="J_1">Technisch!#REF!</definedName>
    <definedName name="J_11">Technisch!$D$18</definedName>
    <definedName name="J1_34">sandrau!$F$20</definedName>
    <definedName name="J1_4">sandrau!$F$20</definedName>
    <definedName name="K_12">Technisch!$F$20</definedName>
    <definedName name="K_4">sandrau!$E$21</definedName>
    <definedName name="kmm">Technisch!$C$7</definedName>
    <definedName name="kmm_22">Technisch!$F$20</definedName>
    <definedName name="Lambda">Technisch!$C$13</definedName>
    <definedName name="Ny">Technisch!$C$8</definedName>
    <definedName name="NY_12">Technisch!$F$21</definedName>
    <definedName name="Ny_22">Technisch!$F$21</definedName>
    <definedName name="NY_4">sandrau!$E$22</definedName>
    <definedName name="Ny_m">Technisch!$C$21</definedName>
    <definedName name="Nym">Technisch!#REF!</definedName>
    <definedName name="ph_35">sandrau!$F$27</definedName>
    <definedName name="ph_36">sandrau!$F$28</definedName>
    <definedName name="PH_37">sandrau!$F$29</definedName>
    <definedName name="PHi_35">sandrau!$F$28</definedName>
    <definedName name="PHI_36">sandrau!$F$28</definedName>
    <definedName name="Phi_4">sandrau!$F$27</definedName>
    <definedName name="Q">Technisch!$C$14</definedName>
    <definedName name="Q_12">Technisch!$F$19</definedName>
    <definedName name="Q_22">Technisch!$F$19</definedName>
    <definedName name="r_22">Technisch!$G$28</definedName>
    <definedName name="R_24">Technisch!$H$32</definedName>
    <definedName name="RE_12">Technisch!$G$19</definedName>
    <definedName name="RE_35">sandrau!$F$24</definedName>
    <definedName name="RE_4">sandrau!$F$26</definedName>
    <definedName name="RE_44">sandrau!$F$24</definedName>
    <definedName name="Ro1_22">Technisch!$G$22</definedName>
    <definedName name="RO2_22">Technisch!$G$23</definedName>
    <definedName name="RO3_22">Technisch!$G$24</definedName>
    <definedName name="Ro4_22">Technisch!$G$25</definedName>
    <definedName name="RO4_24">Technisch!$G$29</definedName>
    <definedName name="v">Technisch!$C$15</definedName>
    <definedName name="v_12">Technisch!$G$18</definedName>
    <definedName name="v_22">Technisch!$G$18</definedName>
    <definedName name="vv_34">sandrau!$E$24</definedName>
    <definedName name="vv_4">sandrau!$E$24</definedName>
  </definedNames>
  <calcPr calcId="191029"/>
  <customWorkbookViews>
    <customWorkbookView name="info@computer73.de - Persönliche Ansicht" guid="{C909E71F-133F-4BEE-A78C-E8B9F65BFA10}" mergeInterval="0" personalView="1" xWindow="356" yWindow="46" windowWidth="1207" windowHeight="76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1" i="4"/>
  <c r="C23" i="4"/>
  <c r="C24" i="4"/>
  <c r="C25" i="4"/>
  <c r="D22" i="4" l="1"/>
  <c r="D23" i="4"/>
  <c r="D24" i="4"/>
  <c r="C14" i="4" s="1"/>
  <c r="D21" i="4"/>
  <c r="D20" i="4"/>
  <c r="D26" i="4" l="1"/>
  <c r="D25" i="4"/>
  <c r="C15" i="4" s="1"/>
  <c r="E22" i="2"/>
  <c r="E21" i="2"/>
  <c r="E20" i="2"/>
  <c r="E19" i="2"/>
  <c r="D34" i="4" l="1"/>
  <c r="C16" i="4"/>
  <c r="D27" i="4"/>
  <c r="F20" i="2"/>
  <c r="F19" i="2"/>
  <c r="F23" i="2"/>
  <c r="F18" i="1"/>
  <c r="D33" i="4" l="1"/>
  <c r="D28" i="4"/>
  <c r="D29" i="4"/>
  <c r="D30" i="4" s="1"/>
  <c r="D31" i="4" s="1"/>
  <c r="D32" i="4" s="1"/>
  <c r="F25" i="2"/>
  <c r="F21" i="2" s="1"/>
  <c r="F22" i="2" s="1"/>
  <c r="G17" i="1"/>
  <c r="F21" i="1"/>
  <c r="F20" i="1"/>
  <c r="G20" i="1" s="1"/>
  <c r="G21" i="1" s="1"/>
  <c r="F19" i="1"/>
  <c r="D36" i="4" l="1"/>
  <c r="C18" i="4" s="1"/>
  <c r="E24" i="2"/>
  <c r="F24" i="2" s="1"/>
  <c r="F26" i="2" s="1"/>
  <c r="F27" i="2" s="1"/>
  <c r="G18" i="1"/>
  <c r="G15" i="1" s="1"/>
  <c r="C21" i="1"/>
  <c r="C20" i="1"/>
  <c r="C19" i="1"/>
  <c r="C18" i="1"/>
  <c r="D35" i="4" l="1"/>
  <c r="C17" i="4"/>
  <c r="C19" i="4" s="1"/>
  <c r="F29" i="2"/>
  <c r="C18" i="2" s="1"/>
  <c r="C14" i="2" s="1"/>
  <c r="F28" i="2"/>
  <c r="C15" i="2" s="1"/>
  <c r="C17" i="2"/>
  <c r="G19" i="1"/>
  <c r="G22" i="1" s="1"/>
  <c r="G23" i="1" s="1"/>
  <c r="G24" i="1" s="1"/>
  <c r="D21" i="1"/>
  <c r="D18" i="1"/>
  <c r="D23" i="1" s="1"/>
  <c r="D17" i="1"/>
  <c r="C16" i="2" l="1"/>
  <c r="G25" i="1"/>
  <c r="D19" i="1"/>
  <c r="D20" i="1" s="1"/>
  <c r="C15" i="1" s="1"/>
  <c r="C14" i="1" s="1"/>
  <c r="G26" i="1" l="1"/>
  <c r="G27" i="1"/>
  <c r="C13" i="1"/>
  <c r="G28" i="1" l="1"/>
  <c r="G29" i="1" s="1"/>
  <c r="G30" i="1" l="1"/>
  <c r="G31" i="1"/>
  <c r="G32" i="1" l="1"/>
  <c r="G13" i="1" s="1"/>
  <c r="G14" i="1" s="1"/>
</calcChain>
</file>

<file path=xl/sharedStrings.xml><?xml version="1.0" encoding="utf-8"?>
<sst xmlns="http://schemas.openxmlformats.org/spreadsheetml/2006/main" count="108" uniqueCount="70">
  <si>
    <t>Eingabewerte</t>
  </si>
  <si>
    <t>Durchmesser in mm</t>
  </si>
  <si>
    <t>Gefälle in o/oo</t>
  </si>
  <si>
    <t>Rauheit in mm</t>
  </si>
  <si>
    <t>kinematische Viskosität</t>
  </si>
  <si>
    <t>in 1.0 E-06 m²</t>
  </si>
  <si>
    <t xml:space="preserve"> </t>
  </si>
  <si>
    <t>Ergebnisse</t>
  </si>
  <si>
    <t>Lambda</t>
  </si>
  <si>
    <t>Abfluss in l/s</t>
  </si>
  <si>
    <t>Geschwindigkeit in m/s</t>
  </si>
  <si>
    <t>Kapazität technisch rauer Rohre</t>
  </si>
  <si>
    <t>Sandraue Rohre</t>
  </si>
  <si>
    <t>Reynoldsche Zahl RE</t>
  </si>
  <si>
    <t>Korrektuwert Phi</t>
  </si>
  <si>
    <t>d_4</t>
  </si>
  <si>
    <t>ISO_4</t>
  </si>
  <si>
    <t>K_4</t>
  </si>
  <si>
    <t>NY_4</t>
  </si>
  <si>
    <t>FFR_4</t>
  </si>
  <si>
    <t>J1_34</t>
  </si>
  <si>
    <t>C_44</t>
  </si>
  <si>
    <t>A_34</t>
  </si>
  <si>
    <t>A1_34</t>
  </si>
  <si>
    <t>B1_34</t>
  </si>
  <si>
    <t>VV-34</t>
  </si>
  <si>
    <t>RE_44</t>
  </si>
  <si>
    <t>C_45</t>
  </si>
  <si>
    <t>ph_35</t>
  </si>
  <si>
    <t>ph_36</t>
  </si>
  <si>
    <t>ph_37</t>
  </si>
  <si>
    <t>Hinweis</t>
  </si>
  <si>
    <t>λ nach Prandtl-Colebrook</t>
  </si>
  <si>
    <t>v nach Darcy-Weisbach</t>
  </si>
  <si>
    <t>Vollfüllungsleistung  Q</t>
  </si>
  <si>
    <t>Abfluss Q in l/s</t>
  </si>
  <si>
    <t>Geschwindigkeit v in m/s</t>
  </si>
  <si>
    <t>λ nach Knauf-Schröder</t>
  </si>
  <si>
    <t>RO4_24</t>
  </si>
  <si>
    <t>F_24</t>
  </si>
  <si>
    <t>F_22</t>
  </si>
  <si>
    <t>FS_22</t>
  </si>
  <si>
    <t>R_22</t>
  </si>
  <si>
    <t>FS_24</t>
  </si>
  <si>
    <t>R_24</t>
  </si>
  <si>
    <t>Teilfüllung technisch rauer Rohre</t>
  </si>
  <si>
    <t>Teilfüllungshöhe in mm</t>
  </si>
  <si>
    <t>Waserspiegelbreite in m</t>
  </si>
  <si>
    <t>benetzter Umfang in m</t>
  </si>
  <si>
    <t>Teilquerschnitt in m²</t>
  </si>
  <si>
    <t>Froude</t>
  </si>
  <si>
    <t>d</t>
  </si>
  <si>
    <t>hat</t>
  </si>
  <si>
    <t>ukr</t>
  </si>
  <si>
    <t xml:space="preserve">aldum </t>
  </si>
  <si>
    <t>Bt</t>
  </si>
  <si>
    <t>Ut</t>
  </si>
  <si>
    <t>At1</t>
  </si>
  <si>
    <t>DHY</t>
  </si>
  <si>
    <t>dzk</t>
  </si>
  <si>
    <t>J1</t>
  </si>
  <si>
    <t>C1</t>
  </si>
  <si>
    <t>A3</t>
  </si>
  <si>
    <t>A1</t>
  </si>
  <si>
    <t>B1</t>
  </si>
  <si>
    <t>xx</t>
  </si>
  <si>
    <t>Qt</t>
  </si>
  <si>
    <t>vt</t>
  </si>
  <si>
    <t>alternativ</t>
  </si>
  <si>
    <t>www.psw-knauf.de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</si>
</sst>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0000"/>
    <numFmt numFmtId="165" formatCode="0.000"/>
    <numFmt numFmtId="166" formatCode="_-* #,##0.000\ _€_-;\-* #,##0.000\ _€_-;_-* &quot;-&quot;??\ _€_-;_-@_-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rial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/>
    <xf numFmtId="0" fontId="7" fillId="0" borderId="0" xfId="0" applyFont="1"/>
    <xf numFmtId="1" fontId="8" fillId="0" borderId="2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6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/>
    <xf numFmtId="0" fontId="11" fillId="0" borderId="0" xfId="2"/>
    <xf numFmtId="0" fontId="12" fillId="0" borderId="0" xfId="0" applyFo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sw-knauf.d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sw-knauf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sw-knauf.de/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294F-AFB0-4F58-80DE-6BBDE466E8B1}">
  <dimension ref="A1:G39"/>
  <sheetViews>
    <sheetView topLeftCell="A4" workbookViewId="0">
      <selection activeCell="B15" sqref="B15"/>
    </sheetView>
  </sheetViews>
  <sheetFormatPr baseColWidth="10" defaultRowHeight="15" x14ac:dyDescent="0.25"/>
  <cols>
    <col min="2" max="2" width="12.5703125" customWidth="1"/>
    <col min="4" max="4" width="12" bestFit="1" customWidth="1"/>
    <col min="6" max="6" width="12" bestFit="1" customWidth="1"/>
  </cols>
  <sheetData>
    <row r="1" spans="1:3" ht="25.5" x14ac:dyDescent="0.35">
      <c r="A1" s="7" t="s">
        <v>12</v>
      </c>
    </row>
    <row r="4" spans="1:3" ht="18" x14ac:dyDescent="0.25">
      <c r="A4" s="1" t="s">
        <v>0</v>
      </c>
    </row>
    <row r="5" spans="1:3" ht="15.75" thickBot="1" x14ac:dyDescent="0.3"/>
    <row r="6" spans="1:3" ht="15.75" thickBot="1" x14ac:dyDescent="0.3">
      <c r="A6" t="s">
        <v>1</v>
      </c>
      <c r="C6" s="3">
        <v>300</v>
      </c>
    </row>
    <row r="7" spans="1:3" ht="15.75" thickBot="1" x14ac:dyDescent="0.3">
      <c r="A7" t="s">
        <v>2</v>
      </c>
      <c r="C7" s="3">
        <v>1</v>
      </c>
    </row>
    <row r="8" spans="1:3" ht="15.75" thickBot="1" x14ac:dyDescent="0.3">
      <c r="A8" t="s">
        <v>3</v>
      </c>
      <c r="C8" s="3">
        <v>0.1</v>
      </c>
    </row>
    <row r="9" spans="1:3" ht="15.75" thickBot="1" x14ac:dyDescent="0.3">
      <c r="A9" t="s">
        <v>4</v>
      </c>
      <c r="C9" s="3">
        <v>1.31</v>
      </c>
    </row>
    <row r="10" spans="1:3" x14ac:dyDescent="0.25">
      <c r="A10" t="s">
        <v>5</v>
      </c>
    </row>
    <row r="12" spans="1:3" ht="18" x14ac:dyDescent="0.25">
      <c r="A12" s="1" t="s">
        <v>7</v>
      </c>
    </row>
    <row r="13" spans="1:3" ht="15.75" thickBot="1" x14ac:dyDescent="0.3"/>
    <row r="14" spans="1:3" ht="15.75" thickBot="1" x14ac:dyDescent="0.3">
      <c r="A14" t="s">
        <v>13</v>
      </c>
      <c r="C14" s="8">
        <f>C18*D_4/NY_4</f>
        <v>135785.88256885749</v>
      </c>
    </row>
    <row r="15" spans="1:3" ht="15.75" thickBot="1" x14ac:dyDescent="0.3">
      <c r="A15" t="s">
        <v>14</v>
      </c>
      <c r="C15" s="9">
        <f>ph_36</f>
        <v>0</v>
      </c>
    </row>
    <row r="16" spans="1:3" ht="15.75" thickBot="1" x14ac:dyDescent="0.3">
      <c r="A16" t="s">
        <v>8</v>
      </c>
      <c r="C16" s="9">
        <f>J1_34/(C18*C18)</f>
        <v>1.6736421515108322E-2</v>
      </c>
    </row>
    <row r="17" spans="1:7" ht="15.75" thickBot="1" x14ac:dyDescent="0.3">
      <c r="A17" t="s">
        <v>35</v>
      </c>
      <c r="C17" s="10">
        <f>1000*C18*FFr_4</f>
        <v>41.890623701905369</v>
      </c>
    </row>
    <row r="18" spans="1:7" ht="15.75" thickBot="1" x14ac:dyDescent="0.3">
      <c r="A18" t="s">
        <v>36</v>
      </c>
      <c r="C18" s="10">
        <f>(-2*LOG10(A1_34+B1_34*PH_37))*C_44</f>
        <v>0.59293168721734435</v>
      </c>
      <c r="E18" s="11"/>
    </row>
    <row r="19" spans="1:7" x14ac:dyDescent="0.25">
      <c r="D19" s="11"/>
      <c r="E19" s="11">
        <f>0.001*C6</f>
        <v>0.3</v>
      </c>
      <c r="F19" s="11">
        <f>3.14*D_4*D_4*0.25</f>
        <v>7.0649999999999991E-2</v>
      </c>
      <c r="G19" s="11" t="s">
        <v>19</v>
      </c>
    </row>
    <row r="20" spans="1:7" x14ac:dyDescent="0.25">
      <c r="C20" s="11"/>
      <c r="D20" s="11" t="s">
        <v>15</v>
      </c>
      <c r="E20" s="11">
        <f>0.001*C7</f>
        <v>1E-3</v>
      </c>
      <c r="F20" s="11">
        <f>ISO_4*D_4*19.6133</f>
        <v>5.8839899999999995E-3</v>
      </c>
      <c r="G20" s="11" t="s">
        <v>20</v>
      </c>
    </row>
    <row r="21" spans="1:7" x14ac:dyDescent="0.25">
      <c r="A21" t="s">
        <v>31</v>
      </c>
      <c r="C21" s="11"/>
      <c r="D21" s="11" t="s">
        <v>16</v>
      </c>
      <c r="E21" s="11">
        <f>0.001*C8</f>
        <v>1E-4</v>
      </c>
      <c r="F21" s="11">
        <f>IF(D_4*C_44&lt;0.00001,1,D_4*C_44)</f>
        <v>2.3012151138040091E-2</v>
      </c>
      <c r="G21" s="11" t="s">
        <v>22</v>
      </c>
    </row>
    <row r="22" spans="1:7" x14ac:dyDescent="0.25">
      <c r="A22" t="s">
        <v>34</v>
      </c>
      <c r="C22" s="11"/>
      <c r="D22" s="11" t="s">
        <v>17</v>
      </c>
      <c r="E22" s="11">
        <f>0.000001*C9</f>
        <v>1.31E-6</v>
      </c>
      <c r="F22" s="11">
        <f>2.51*NY_4/A_34</f>
        <v>1.4288538173924239E-4</v>
      </c>
      <c r="G22" s="11" t="s">
        <v>23</v>
      </c>
    </row>
    <row r="23" spans="1:7" x14ac:dyDescent="0.25">
      <c r="A23" t="s">
        <v>33</v>
      </c>
      <c r="C23" s="11"/>
      <c r="D23" s="11" t="s">
        <v>18</v>
      </c>
      <c r="E23" s="11"/>
      <c r="F23" s="11">
        <f>K_4/(3.71*D_4)</f>
        <v>8.9847259658580413E-5</v>
      </c>
      <c r="G23" s="11" t="s">
        <v>24</v>
      </c>
    </row>
    <row r="24" spans="1:7" x14ac:dyDescent="0.25">
      <c r="A24" s="12" t="s">
        <v>37</v>
      </c>
      <c r="C24" s="11"/>
      <c r="D24" s="11"/>
      <c r="E24" s="11">
        <f>(-2*LOG10(A1_4+B1_4))*C_4</f>
        <v>0.55737619301022934</v>
      </c>
      <c r="F24" s="11">
        <f>vv_34*D_4/NY_4</f>
        <v>127643.40297944185</v>
      </c>
      <c r="G24" s="11" t="s">
        <v>26</v>
      </c>
    </row>
    <row r="25" spans="1:7" x14ac:dyDescent="0.25">
      <c r="A25" s="18" t="s">
        <v>69</v>
      </c>
      <c r="B25" s="6"/>
      <c r="C25" s="11"/>
      <c r="D25" s="11" t="s">
        <v>25</v>
      </c>
      <c r="E25" s="11"/>
      <c r="F25" s="11">
        <f>SQRT(J1_34)</f>
        <v>7.6707170460133645E-2</v>
      </c>
      <c r="G25" s="11" t="s">
        <v>21</v>
      </c>
    </row>
    <row r="26" spans="1:7" x14ac:dyDescent="0.25">
      <c r="B26" s="6"/>
      <c r="C26" s="11"/>
      <c r="D26" s="11"/>
      <c r="E26" s="11"/>
      <c r="F26" s="11">
        <f>(RE_44*K_4-40)/396</f>
        <v>-6.8776918439534887E-2</v>
      </c>
      <c r="G26" s="11" t="s">
        <v>27</v>
      </c>
    </row>
    <row r="27" spans="1:7" x14ac:dyDescent="0.25">
      <c r="B27" s="6"/>
      <c r="C27" s="11"/>
      <c r="D27" s="11"/>
      <c r="E27" s="11"/>
      <c r="F27" s="11">
        <f>1-EXP(-C_45)</f>
        <v>-7.1197218145104602E-2</v>
      </c>
      <c r="G27" s="11" t="s">
        <v>28</v>
      </c>
    </row>
    <row r="28" spans="1:7" x14ac:dyDescent="0.25">
      <c r="B28" s="6"/>
      <c r="C28" s="11"/>
      <c r="D28" s="11"/>
      <c r="E28" s="11"/>
      <c r="F28" s="11">
        <f>IF(ph_35&lt;0,0,1-EXP(-C_45))</f>
        <v>0</v>
      </c>
      <c r="G28" s="11" t="s">
        <v>29</v>
      </c>
    </row>
    <row r="29" spans="1:7" x14ac:dyDescent="0.25">
      <c r="B29" s="6"/>
      <c r="C29" s="11"/>
      <c r="D29" s="11"/>
      <c r="E29" s="11"/>
      <c r="F29" s="11">
        <f>IF(ph_35&gt;1,1,1-EXP(-C_45))</f>
        <v>-7.1197218145104602E-2</v>
      </c>
      <c r="G29" s="11" t="s">
        <v>30</v>
      </c>
    </row>
    <row r="30" spans="1:7" x14ac:dyDescent="0.25">
      <c r="B30" s="6"/>
      <c r="C30" s="11"/>
      <c r="D30" s="11"/>
      <c r="E30" s="11"/>
      <c r="F30" s="11"/>
      <c r="G30" s="11"/>
    </row>
    <row r="31" spans="1:7" x14ac:dyDescent="0.25">
      <c r="B31" s="6"/>
      <c r="C31" s="6"/>
      <c r="D31" s="6"/>
      <c r="E31" s="6"/>
      <c r="F31" s="6"/>
      <c r="G31" s="6"/>
    </row>
    <row r="32" spans="1:7" x14ac:dyDescent="0.25">
      <c r="B32" s="6"/>
      <c r="C32" s="6"/>
      <c r="D32" s="6"/>
      <c r="E32" s="6"/>
      <c r="F32" s="6"/>
      <c r="G32" s="6"/>
    </row>
    <row r="33" spans="2:6" x14ac:dyDescent="0.25">
      <c r="B33" s="6"/>
      <c r="C33" s="6"/>
      <c r="D33" s="6"/>
      <c r="E33" s="6"/>
      <c r="F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6"/>
      <c r="C38" s="6"/>
      <c r="D38" s="6"/>
      <c r="E38" s="6"/>
      <c r="F38" s="6"/>
    </row>
    <row r="39" spans="2:6" x14ac:dyDescent="0.25">
      <c r="B39" s="6"/>
      <c r="C39" s="6"/>
      <c r="D39" s="6"/>
      <c r="E39" s="6"/>
      <c r="F39" s="6"/>
    </row>
  </sheetData>
  <customSheetViews>
    <customSheetView guid="{C909E71F-133F-4BEE-A78C-E8B9F65BFA10}">
      <selection activeCell="B8" sqref="B8"/>
      <pageMargins left="0.7" right="0.7" top="0.78740157499999996" bottom="0.78740157499999996" header="0.3" footer="0.3"/>
      <pageSetup paperSize="9" orientation="portrait" r:id="rId1"/>
    </customSheetView>
  </customSheetViews>
  <dataValidations count="4">
    <dataValidation type="decimal" allowBlank="1" showInputMessage="1" showErrorMessage="1" sqref="C8" xr:uid="{31CD789D-4340-4384-A448-EBAC4DC33B3C}">
      <formula1>0</formula1>
      <formula2>600</formula2>
    </dataValidation>
    <dataValidation type="decimal" allowBlank="1" showInputMessage="1" showErrorMessage="1" sqref="C9" xr:uid="{E7B81539-4DBC-4689-81FD-4520CDEC2372}">
      <formula1>0.05</formula1>
      <formula2>500</formula2>
    </dataValidation>
    <dataValidation type="decimal" allowBlank="1" showInputMessage="1" showErrorMessage="1" sqref="C7" xr:uid="{A976C7DA-A9EE-48FD-B1C1-17E90322AE7B}">
      <formula1>0.05</formula1>
      <formula2>1000</formula2>
    </dataValidation>
    <dataValidation type="decimal" errorStyle="warning" allowBlank="1" showInputMessage="1" showErrorMessage="1" sqref="C6" xr:uid="{8C985559-486E-4204-8319-F24BCCFF6F04}">
      <formula1>10</formula1>
      <formula2>10000</formula2>
    </dataValidation>
  </dataValidations>
  <hyperlinks>
    <hyperlink ref="A25" r:id="rId2" xr:uid="{0409016B-B722-4C54-BD14-8A1ADAC69398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6E0A-9E2E-46CD-BD2C-A39242245027}">
  <dimension ref="A1:E37"/>
  <sheetViews>
    <sheetView topLeftCell="A3" workbookViewId="0">
      <selection activeCell="A27" sqref="A27"/>
    </sheetView>
  </sheetViews>
  <sheetFormatPr baseColWidth="10" defaultRowHeight="15" x14ac:dyDescent="0.25"/>
  <cols>
    <col min="2" max="2" width="14.5703125" customWidth="1"/>
    <col min="4" max="4" width="12" bestFit="1" customWidth="1"/>
  </cols>
  <sheetData>
    <row r="1" spans="1:4" ht="20.25" x14ac:dyDescent="0.3">
      <c r="A1" s="2" t="s">
        <v>45</v>
      </c>
    </row>
    <row r="2" spans="1:4" x14ac:dyDescent="0.25">
      <c r="C2" t="s">
        <v>6</v>
      </c>
      <c r="D2" t="s">
        <v>6</v>
      </c>
    </row>
    <row r="3" spans="1:4" ht="18" x14ac:dyDescent="0.25">
      <c r="A3" s="1" t="s">
        <v>0</v>
      </c>
    </row>
    <row r="4" spans="1:4" ht="15.75" thickBot="1" x14ac:dyDescent="0.3"/>
    <row r="5" spans="1:4" ht="15.75" thickBot="1" x14ac:dyDescent="0.3">
      <c r="A5" t="s">
        <v>1</v>
      </c>
      <c r="C5" s="13">
        <v>900</v>
      </c>
    </row>
    <row r="6" spans="1:4" ht="15.75" thickBot="1" x14ac:dyDescent="0.3">
      <c r="A6" t="s">
        <v>46</v>
      </c>
      <c r="C6" s="13">
        <v>200</v>
      </c>
    </row>
    <row r="7" spans="1:4" ht="15.75" thickBot="1" x14ac:dyDescent="0.3">
      <c r="A7" t="s">
        <v>2</v>
      </c>
      <c r="C7" s="13">
        <v>9</v>
      </c>
    </row>
    <row r="8" spans="1:4" ht="15.75" thickBot="1" x14ac:dyDescent="0.3">
      <c r="A8" t="s">
        <v>3</v>
      </c>
      <c r="C8" s="13">
        <v>1</v>
      </c>
    </row>
    <row r="9" spans="1:4" ht="15.75" thickBot="1" x14ac:dyDescent="0.3">
      <c r="A9" t="s">
        <v>4</v>
      </c>
      <c r="C9" s="13">
        <v>1.31</v>
      </c>
    </row>
    <row r="10" spans="1:4" x14ac:dyDescent="0.25">
      <c r="A10" t="s">
        <v>5</v>
      </c>
    </row>
    <row r="12" spans="1:4" ht="18" x14ac:dyDescent="0.25">
      <c r="A12" s="1" t="s">
        <v>7</v>
      </c>
    </row>
    <row r="13" spans="1:4" ht="15.75" thickBot="1" x14ac:dyDescent="0.3"/>
    <row r="14" spans="1:4" ht="15.75" thickBot="1" x14ac:dyDescent="0.3">
      <c r="A14" t="s">
        <v>47</v>
      </c>
      <c r="C14" s="17">
        <f>D24</f>
        <v>0.74833147735478833</v>
      </c>
    </row>
    <row r="15" spans="1:4" ht="15.75" thickBot="1" x14ac:dyDescent="0.3">
      <c r="A15" t="s">
        <v>48</v>
      </c>
      <c r="C15" s="14">
        <f>D25</f>
        <v>0.88215543268994645</v>
      </c>
    </row>
    <row r="16" spans="1:4" ht="15.75" thickBot="1" x14ac:dyDescent="0.3">
      <c r="A16" t="s">
        <v>49</v>
      </c>
      <c r="C16" s="14">
        <f>D26</f>
        <v>0.1049435376858894</v>
      </c>
    </row>
    <row r="17" spans="1:5" ht="15.75" thickBot="1" x14ac:dyDescent="0.3">
      <c r="A17" t="s">
        <v>35</v>
      </c>
      <c r="C17" s="16">
        <f>1000*C18*D26</f>
        <v>196.44997406955423</v>
      </c>
    </row>
    <row r="18" spans="1:5" ht="15.75" thickBot="1" x14ac:dyDescent="0.3">
      <c r="A18" t="s">
        <v>36</v>
      </c>
      <c r="C18" s="15">
        <f>D36</f>
        <v>1.8719587542165419</v>
      </c>
    </row>
    <row r="19" spans="1:5" ht="15.75" thickBot="1" x14ac:dyDescent="0.3">
      <c r="A19" t="s">
        <v>50</v>
      </c>
      <c r="C19" s="14">
        <f>0.001*C17/(D26*D34)</f>
        <v>1.5959928021678715</v>
      </c>
    </row>
    <row r="20" spans="1:5" x14ac:dyDescent="0.25">
      <c r="C20" s="11"/>
      <c r="D20" s="11">
        <f>3.14*C21*C21*0.25</f>
        <v>0.63585000000000003</v>
      </c>
    </row>
    <row r="21" spans="1:5" x14ac:dyDescent="0.25">
      <c r="B21" s="11" t="s">
        <v>51</v>
      </c>
      <c r="C21" s="11">
        <f>0.001*C5</f>
        <v>0.9</v>
      </c>
      <c r="D21" s="11">
        <f>3.14*C21</f>
        <v>2.8260000000000001</v>
      </c>
      <c r="E21" s="11" t="s">
        <v>53</v>
      </c>
    </row>
    <row r="22" spans="1:5" x14ac:dyDescent="0.25">
      <c r="A22" t="s">
        <v>31</v>
      </c>
      <c r="B22" s="11"/>
      <c r="C22" s="11">
        <f>0.001*C6</f>
        <v>0.2</v>
      </c>
      <c r="D22" s="11">
        <f>IF(C22/C21&gt;0.8273,C21,C22)</f>
        <v>0.2</v>
      </c>
      <c r="E22" s="11" t="s">
        <v>52</v>
      </c>
    </row>
    <row r="23" spans="1:5" x14ac:dyDescent="0.25">
      <c r="A23" t="s">
        <v>34</v>
      </c>
      <c r="B23" s="11"/>
      <c r="C23" s="11">
        <f>0.001*C7</f>
        <v>9.0000000000000011E-3</v>
      </c>
      <c r="D23" s="11">
        <f>ATAN(SQRT((C21-C22)/C22))</f>
        <v>1.0799136485055854</v>
      </c>
      <c r="E23" s="11" t="s">
        <v>54</v>
      </c>
    </row>
    <row r="24" spans="1:5" x14ac:dyDescent="0.25">
      <c r="A24" t="s">
        <v>33</v>
      </c>
      <c r="B24" s="11"/>
      <c r="C24" s="11">
        <f>0.001*C8</f>
        <v>1E-3</v>
      </c>
      <c r="D24" s="11">
        <f>2*SQRT((C21*C22-C22*C22))</f>
        <v>0.74833147735478833</v>
      </c>
      <c r="E24" s="11" t="s">
        <v>55</v>
      </c>
    </row>
    <row r="25" spans="1:5" x14ac:dyDescent="0.25">
      <c r="A25" s="12" t="s">
        <v>32</v>
      </c>
      <c r="B25" s="11"/>
      <c r="C25" s="11">
        <f>0.000001*C9</f>
        <v>1.31E-6</v>
      </c>
      <c r="D25" s="11">
        <f>C21*(3.14-2*D23)</f>
        <v>0.88215543268994645</v>
      </c>
      <c r="E25" s="11" t="s">
        <v>56</v>
      </c>
    </row>
    <row r="26" spans="1:5" x14ac:dyDescent="0.25">
      <c r="A26" s="18" t="s">
        <v>69</v>
      </c>
      <c r="B26" s="11"/>
      <c r="C26" s="11"/>
      <c r="D26" s="11">
        <f>(0.25*3.14-0.5*D23)*C21*C21+D24*C21*(0.5*D22/C21-0.25)</f>
        <v>0.1049435376858894</v>
      </c>
      <c r="E26" s="11" t="s">
        <v>57</v>
      </c>
    </row>
    <row r="27" spans="1:5" x14ac:dyDescent="0.25">
      <c r="B27" s="11"/>
      <c r="C27" s="11"/>
      <c r="D27" s="11">
        <f>4*D26/D25</f>
        <v>0.47585055330163883</v>
      </c>
      <c r="E27" s="11" t="s">
        <v>58</v>
      </c>
    </row>
    <row r="28" spans="1:5" x14ac:dyDescent="0.25">
      <c r="B28" s="11"/>
      <c r="C28" s="11"/>
      <c r="D28" s="11">
        <f>D27/C24</f>
        <v>475.8505533016388</v>
      </c>
      <c r="E28" s="11" t="s">
        <v>59</v>
      </c>
    </row>
    <row r="29" spans="1:5" x14ac:dyDescent="0.25">
      <c r="B29" s="11"/>
      <c r="C29" s="11"/>
      <c r="D29" s="11">
        <f>C23*D27*19.62</f>
        <v>8.40256907020034E-2</v>
      </c>
      <c r="E29" s="11" t="s">
        <v>60</v>
      </c>
    </row>
    <row r="30" spans="1:5" x14ac:dyDescent="0.25">
      <c r="B30" s="11"/>
      <c r="C30" s="11"/>
      <c r="D30" s="11">
        <f>SQRT(D29)</f>
        <v>0.28987185220714928</v>
      </c>
      <c r="E30" s="11" t="s">
        <v>61</v>
      </c>
    </row>
    <row r="31" spans="1:5" x14ac:dyDescent="0.25">
      <c r="C31" s="11"/>
      <c r="D31" s="11">
        <f>IF(D27*D30&lt;0.0000001,1,D27*D30)</f>
        <v>0.13793568125934286</v>
      </c>
      <c r="E31" s="11" t="s">
        <v>62</v>
      </c>
    </row>
    <row r="32" spans="1:5" x14ac:dyDescent="0.25">
      <c r="C32" s="11"/>
      <c r="D32" s="11">
        <f>C25*2.51/D31</f>
        <v>2.3837921921143846E-5</v>
      </c>
      <c r="E32" s="11" t="s">
        <v>63</v>
      </c>
    </row>
    <row r="33" spans="2:5" x14ac:dyDescent="0.25">
      <c r="C33" s="11"/>
      <c r="D33" s="11">
        <f>C24/(3.71*D27)</f>
        <v>5.6644208377095307E-4</v>
      </c>
      <c r="E33" s="11" t="s">
        <v>64</v>
      </c>
    </row>
    <row r="34" spans="2:5" x14ac:dyDescent="0.25">
      <c r="C34" s="11"/>
      <c r="D34" s="11">
        <f>SQRT(9.81*D26/D24)</f>
        <v>1.1729117773424915</v>
      </c>
      <c r="E34" s="11" t="s">
        <v>65</v>
      </c>
    </row>
    <row r="35" spans="2:5" x14ac:dyDescent="0.25">
      <c r="C35" s="11"/>
      <c r="D35" s="11">
        <f>C18*C16</f>
        <v>0.19644997406955425</v>
      </c>
      <c r="E35" s="11" t="s">
        <v>66</v>
      </c>
    </row>
    <row r="36" spans="2:5" x14ac:dyDescent="0.25">
      <c r="B36" s="11"/>
      <c r="C36" s="11"/>
      <c r="D36" s="11">
        <f>(-2*LOG10(D32+D33))*D30</f>
        <v>1.8719587542165419</v>
      </c>
      <c r="E36" s="11" t="s">
        <v>67</v>
      </c>
    </row>
    <row r="37" spans="2:5" x14ac:dyDescent="0.25">
      <c r="B37" s="11"/>
      <c r="C37" s="11"/>
      <c r="D37" s="11"/>
      <c r="E37" s="11"/>
    </row>
  </sheetData>
  <sheetProtection selectLockedCells="1" selectUnlockedCells="1"/>
  <customSheetViews>
    <customSheetView guid="{C909E71F-133F-4BEE-A78C-E8B9F65BFA10}">
      <selection activeCell="C5" sqref="C5"/>
      <pageMargins left="0.7" right="0.7" top="0.78740157499999996" bottom="0.78740157499999996" header="0.3" footer="0.3"/>
    </customSheetView>
  </customSheetViews>
  <dataValidations count="5">
    <dataValidation type="decimal" allowBlank="1" showInputMessage="1" showErrorMessage="1" sqref="C8" xr:uid="{1ADD4EBB-8ADC-4150-92AD-6080FD12F352}">
      <formula1>0</formula1>
      <formula2>600</formula2>
    </dataValidation>
    <dataValidation type="decimal" allowBlank="1" showInputMessage="1" showErrorMessage="1" sqref="C9" xr:uid="{44F313C9-561D-49FE-911D-450733992E17}">
      <formula1>0.05</formula1>
      <formula2>500</formula2>
    </dataValidation>
    <dataValidation type="decimal" allowBlank="1" showInputMessage="1" showErrorMessage="1" sqref="C7" xr:uid="{3714093B-193E-4BDB-AFB3-D8A46166C1AB}">
      <formula1>0.05</formula1>
      <formula2>1000</formula2>
    </dataValidation>
    <dataValidation type="decimal" errorStyle="warning" allowBlank="1" showInputMessage="1" showErrorMessage="1" sqref="C5" xr:uid="{89385343-C114-4DB1-8BA5-122E952CCB03}">
      <formula1>20</formula1>
      <formula2>10000</formula2>
    </dataValidation>
    <dataValidation type="decimal" errorStyle="warning" allowBlank="1" showInputMessage="1" showErrorMessage="1" sqref="C6" xr:uid="{7BC39B26-3258-4D96-B9D4-68081FE604CB}">
      <formula1>2</formula1>
      <formula2>10000</formula2>
    </dataValidation>
  </dataValidations>
  <hyperlinks>
    <hyperlink ref="A26" r:id="rId1" xr:uid="{296F5F4D-6FF4-40D0-8AC4-41305872D203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6EE0-305F-43E3-8993-B326EFD25819}">
  <dimension ref="A1:H35"/>
  <sheetViews>
    <sheetView tabSelected="1" workbookViewId="0">
      <selection activeCell="K26" sqref="K26"/>
    </sheetView>
  </sheetViews>
  <sheetFormatPr baseColWidth="10" defaultRowHeight="15" x14ac:dyDescent="0.25"/>
  <cols>
    <col min="2" max="2" width="15" customWidth="1"/>
    <col min="3" max="3" width="11.42578125" customWidth="1"/>
    <col min="4" max="4" width="11.7109375" customWidth="1"/>
    <col min="5" max="5" width="11.42578125" customWidth="1"/>
    <col min="6" max="6" width="16" customWidth="1"/>
    <col min="7" max="7" width="15.7109375" customWidth="1"/>
  </cols>
  <sheetData>
    <row r="1" spans="1:8" ht="20.25" x14ac:dyDescent="0.3">
      <c r="A1" s="2" t="s">
        <v>11</v>
      </c>
    </row>
    <row r="2" spans="1:8" x14ac:dyDescent="0.25">
      <c r="C2" t="s">
        <v>6</v>
      </c>
      <c r="D2" t="s">
        <v>6</v>
      </c>
    </row>
    <row r="3" spans="1:8" ht="18" x14ac:dyDescent="0.25">
      <c r="A3" s="1" t="s">
        <v>0</v>
      </c>
      <c r="E3" s="19" t="s">
        <v>68</v>
      </c>
    </row>
    <row r="4" spans="1:8" ht="15.75" thickBot="1" x14ac:dyDescent="0.3"/>
    <row r="5" spans="1:8" ht="15.75" thickBot="1" x14ac:dyDescent="0.3">
      <c r="A5" t="s">
        <v>1</v>
      </c>
      <c r="C5" s="3">
        <v>900</v>
      </c>
      <c r="E5" t="s">
        <v>1</v>
      </c>
      <c r="G5" s="3">
        <v>900</v>
      </c>
    </row>
    <row r="6" spans="1:8" ht="15.75" thickBot="1" x14ac:dyDescent="0.3">
      <c r="A6" t="s">
        <v>2</v>
      </c>
      <c r="C6" s="3">
        <v>5</v>
      </c>
      <c r="E6" t="s">
        <v>9</v>
      </c>
      <c r="G6" s="3">
        <v>1324</v>
      </c>
    </row>
    <row r="7" spans="1:8" ht="15.75" thickBot="1" x14ac:dyDescent="0.3">
      <c r="A7" t="s">
        <v>3</v>
      </c>
      <c r="C7" s="3">
        <v>1</v>
      </c>
      <c r="E7" t="s">
        <v>3</v>
      </c>
      <c r="G7" s="3">
        <v>1</v>
      </c>
    </row>
    <row r="8" spans="1:8" ht="15.75" thickBot="1" x14ac:dyDescent="0.3">
      <c r="A8" t="s">
        <v>4</v>
      </c>
      <c r="C8" s="3">
        <v>1.31</v>
      </c>
      <c r="E8" t="s">
        <v>4</v>
      </c>
      <c r="G8" s="3">
        <v>1.31</v>
      </c>
    </row>
    <row r="9" spans="1:8" x14ac:dyDescent="0.25">
      <c r="A9" t="s">
        <v>5</v>
      </c>
      <c r="E9" t="s">
        <v>5</v>
      </c>
    </row>
    <row r="10" spans="1:8" x14ac:dyDescent="0.25">
      <c r="F10" s="6"/>
      <c r="G10" s="6"/>
      <c r="H10" s="6"/>
    </row>
    <row r="11" spans="1:8" ht="18" x14ac:dyDescent="0.25">
      <c r="A11" s="1" t="s">
        <v>7</v>
      </c>
      <c r="F11" s="6"/>
      <c r="H11" s="6"/>
    </row>
    <row r="12" spans="1:8" ht="15.75" thickBot="1" x14ac:dyDescent="0.3"/>
    <row r="13" spans="1:8" ht="15.75" thickBot="1" x14ac:dyDescent="0.3">
      <c r="A13" t="s">
        <v>8</v>
      </c>
      <c r="C13" s="4">
        <f>D18/(C15*C15)</f>
        <v>2.0336748516928429E-2</v>
      </c>
      <c r="E13" t="s">
        <v>8</v>
      </c>
      <c r="G13" s="4">
        <f>1/(G32*G32)</f>
        <v>2.0337834387614388E-2</v>
      </c>
    </row>
    <row r="14" spans="1:8" ht="15.75" thickBot="1" x14ac:dyDescent="0.3">
      <c r="A14" t="s">
        <v>35</v>
      </c>
      <c r="C14" s="5">
        <f>1000*C15*FKR_11</f>
        <v>1324.6328133294812</v>
      </c>
      <c r="E14" t="s">
        <v>2</v>
      </c>
      <c r="G14" s="5">
        <f>1000*G13*G18*G18/(D_22*19.62)</f>
        <v>4.993784683620861</v>
      </c>
    </row>
    <row r="15" spans="1:8" ht="15.75" thickBot="1" x14ac:dyDescent="0.3">
      <c r="A15" t="s">
        <v>36</v>
      </c>
      <c r="C15" s="5">
        <f>-(2*LOG10(A_11+B_12))*D23</f>
        <v>2.0832473277179857</v>
      </c>
      <c r="E15" t="s">
        <v>10</v>
      </c>
      <c r="G15" s="5">
        <f>v_12</f>
        <v>2.0822521034835262</v>
      </c>
    </row>
    <row r="16" spans="1:8" x14ac:dyDescent="0.25">
      <c r="G16" s="11"/>
    </row>
    <row r="17" spans="1:8" x14ac:dyDescent="0.25">
      <c r="C17" s="11"/>
      <c r="D17" s="11">
        <f>3.14*C18*C18*0.25</f>
        <v>0.63585000000000003</v>
      </c>
      <c r="E17" s="6"/>
      <c r="F17" s="6"/>
      <c r="G17" s="11">
        <f>3.14*D_22*D_22*0.25</f>
        <v>0.63585000000000003</v>
      </c>
      <c r="H17" s="6"/>
    </row>
    <row r="18" spans="1:8" x14ac:dyDescent="0.25">
      <c r="A18" t="s">
        <v>31</v>
      </c>
      <c r="B18" s="6"/>
      <c r="C18" s="11">
        <f>0.001*C5</f>
        <v>0.9</v>
      </c>
      <c r="D18" s="11">
        <f>C18*C19*19.6133</f>
        <v>8.8259850000000001E-2</v>
      </c>
      <c r="E18" s="11"/>
      <c r="F18" s="11">
        <f>0.001*G5</f>
        <v>0.9</v>
      </c>
      <c r="G18" s="11">
        <f>F19/G17</f>
        <v>2.0822521034835262</v>
      </c>
      <c r="H18" s="11"/>
    </row>
    <row r="19" spans="1:8" x14ac:dyDescent="0.25">
      <c r="A19" t="s">
        <v>34</v>
      </c>
      <c r="B19" s="6"/>
      <c r="C19" s="11">
        <f>0.001*C6</f>
        <v>5.0000000000000001E-3</v>
      </c>
      <c r="D19" s="11">
        <f>IF(C18*D23&lt;0.00001,1,C18*C_11)</f>
        <v>0.26737703435411203</v>
      </c>
      <c r="E19" s="11" t="s">
        <v>6</v>
      </c>
      <c r="F19" s="11">
        <f>0.001*G6</f>
        <v>1.3240000000000001</v>
      </c>
      <c r="G19" s="11">
        <f>v_22*D_22/Ny_22</f>
        <v>1430554.8802558577</v>
      </c>
      <c r="H19" s="11"/>
    </row>
    <row r="20" spans="1:8" x14ac:dyDescent="0.25">
      <c r="A20" t="s">
        <v>33</v>
      </c>
      <c r="B20" s="6"/>
      <c r="C20" s="11">
        <f>0.001*C7</f>
        <v>1E-3</v>
      </c>
      <c r="D20" s="11">
        <f>2.51*C21/A_31</f>
        <v>1.2297615642057223E-5</v>
      </c>
      <c r="E20" s="11"/>
      <c r="F20" s="11">
        <f>0.001*G7</f>
        <v>1E-3</v>
      </c>
      <c r="G20" s="11">
        <f>D_22/kmm_22</f>
        <v>900</v>
      </c>
      <c r="H20" s="11"/>
    </row>
    <row r="21" spans="1:8" x14ac:dyDescent="0.25">
      <c r="A21" s="12" t="s">
        <v>32</v>
      </c>
      <c r="B21" s="6"/>
      <c r="C21" s="11">
        <f>0.000001*C8</f>
        <v>1.31E-6</v>
      </c>
      <c r="D21" s="11">
        <f>C20/(3.71*C18)</f>
        <v>2.9949086552860139E-4</v>
      </c>
      <c r="E21" s="11"/>
      <c r="F21" s="11">
        <f>0.000001*G8</f>
        <v>1.31E-6</v>
      </c>
      <c r="G21" s="11">
        <f>1/(3.71*dzk_22)</f>
        <v>2.9949086552860139E-4</v>
      </c>
      <c r="H21" s="11"/>
    </row>
    <row r="22" spans="1:8" x14ac:dyDescent="0.25">
      <c r="A22" s="18" t="s">
        <v>69</v>
      </c>
      <c r="B22" s="6"/>
      <c r="C22" s="11"/>
      <c r="D22" s="11"/>
      <c r="E22" s="11"/>
      <c r="F22" s="11"/>
      <c r="G22" s="11">
        <f>4.5223*LOG10(RE_12)-3.8215</f>
        <v>24.015538105553805</v>
      </c>
      <c r="H22" s="11"/>
    </row>
    <row r="23" spans="1:8" x14ac:dyDescent="0.25">
      <c r="B23" s="6"/>
      <c r="C23" s="11"/>
      <c r="D23" s="11">
        <f>SQRT(J_11)</f>
        <v>0.29708559372679111</v>
      </c>
      <c r="E23" s="11"/>
      <c r="F23" s="11"/>
      <c r="G23" s="11">
        <f>Ro1_22/RE_12+B1_22</f>
        <v>3.1627843407071744E-4</v>
      </c>
      <c r="H23" s="11"/>
    </row>
    <row r="24" spans="1:8" x14ac:dyDescent="0.25">
      <c r="B24" s="6"/>
      <c r="C24" s="11"/>
      <c r="D24" s="11"/>
      <c r="E24" s="11"/>
      <c r="F24" s="11"/>
      <c r="G24" s="11">
        <f>-2*LOG10(RO2_22)</f>
        <v>6.9998608402178339</v>
      </c>
      <c r="H24" s="11"/>
    </row>
    <row r="25" spans="1:8" x14ac:dyDescent="0.25">
      <c r="B25" s="6"/>
      <c r="C25" s="11"/>
      <c r="D25" s="11"/>
      <c r="E25" s="11"/>
      <c r="F25" s="11"/>
      <c r="G25" s="11">
        <f>2.51/RE_12</f>
        <v>1.7545639350453169E-6</v>
      </c>
      <c r="H25" s="11"/>
    </row>
    <row r="26" spans="1:8" x14ac:dyDescent="0.25">
      <c r="B26" s="6"/>
      <c r="C26" s="11"/>
      <c r="D26" s="11"/>
      <c r="E26" s="11"/>
      <c r="F26" s="11"/>
      <c r="G26" s="11">
        <f>Ro4_22+2*LOG10(A1_22*Ro4_22+B1_22)</f>
        <v>-7.0472310746164997</v>
      </c>
      <c r="H26" s="11" t="s">
        <v>40</v>
      </c>
    </row>
    <row r="27" spans="1:8" x14ac:dyDescent="0.25">
      <c r="B27" s="6"/>
      <c r="C27" s="11"/>
      <c r="D27" s="11"/>
      <c r="E27" s="11"/>
      <c r="F27" s="11"/>
      <c r="G27" s="11">
        <f>1+0.86858*A1_22*(A1_22*Ro4_22+B1_22)</f>
        <v>1.0000000004564178</v>
      </c>
      <c r="H27" s="11" t="s">
        <v>41</v>
      </c>
    </row>
    <row r="28" spans="1:8" x14ac:dyDescent="0.25">
      <c r="B28" s="6"/>
      <c r="C28" s="11"/>
      <c r="D28" s="11"/>
      <c r="E28" s="11"/>
      <c r="F28" s="11"/>
      <c r="G28" s="11">
        <f>Ro4_22-F_22/FS_22</f>
        <v>7.0472328259639534</v>
      </c>
      <c r="H28" s="11" t="s">
        <v>42</v>
      </c>
    </row>
    <row r="29" spans="1:8" x14ac:dyDescent="0.25">
      <c r="B29" s="6"/>
      <c r="C29" s="11"/>
      <c r="D29" s="11"/>
      <c r="E29" s="11"/>
      <c r="F29" s="11"/>
      <c r="G29" s="11">
        <f>r_22</f>
        <v>7.0472328259639534</v>
      </c>
      <c r="H29" s="11" t="s">
        <v>38</v>
      </c>
    </row>
    <row r="30" spans="1:8" x14ac:dyDescent="0.25">
      <c r="B30" s="6"/>
      <c r="C30" s="11"/>
      <c r="D30" s="11"/>
      <c r="E30" s="11"/>
      <c r="F30" s="11"/>
      <c r="G30" s="11">
        <f>RO4_24+2*LOG10(A1_22*RO4_24+B1_22)</f>
        <v>3.5140159926990933E-2</v>
      </c>
      <c r="H30" s="11" t="s">
        <v>39</v>
      </c>
    </row>
    <row r="31" spans="1:8" x14ac:dyDescent="0.25">
      <c r="C31" s="11"/>
      <c r="D31" s="11"/>
      <c r="E31" s="11"/>
      <c r="F31" s="11"/>
      <c r="G31" s="11">
        <f>1+0.86858*A1_22*(A1_22*RO4_24+B1_22)</f>
        <v>1.0000000004752616</v>
      </c>
      <c r="H31" s="11" t="s">
        <v>43</v>
      </c>
    </row>
    <row r="32" spans="1:8" x14ac:dyDescent="0.25">
      <c r="C32" s="11"/>
      <c r="D32" s="11"/>
      <c r="E32" s="11"/>
      <c r="F32" s="11"/>
      <c r="G32" s="11">
        <f>RO4_24-G30/G31</f>
        <v>7.0120926660536629</v>
      </c>
      <c r="H32" s="11" t="s">
        <v>44</v>
      </c>
    </row>
    <row r="33" spans="3:8" x14ac:dyDescent="0.25">
      <c r="C33" s="11"/>
      <c r="D33" s="11"/>
      <c r="E33" s="11"/>
      <c r="F33" s="11"/>
      <c r="G33" s="11"/>
      <c r="H33" s="11"/>
    </row>
    <row r="34" spans="3:8" x14ac:dyDescent="0.25">
      <c r="C34" s="11"/>
      <c r="D34" s="11"/>
      <c r="E34" s="11"/>
      <c r="F34" s="11"/>
      <c r="H34" s="11"/>
    </row>
    <row r="35" spans="3:8" x14ac:dyDescent="0.25">
      <c r="C35" s="11"/>
      <c r="D35" s="11"/>
      <c r="E35" s="11"/>
      <c r="F35" s="11"/>
      <c r="H35" s="11"/>
    </row>
  </sheetData>
  <sheetProtection selectLockedCells="1" selectUnlockedCells="1"/>
  <customSheetViews>
    <customSheetView guid="{C909E71F-133F-4BEE-A78C-E8B9F65BFA10}">
      <selection activeCell="C7" sqref="C7"/>
      <pageMargins left="0.7" right="0.7" top="0.78740157499999996" bottom="0.78740157499999996" header="0.3" footer="0.3"/>
      <pageSetup paperSize="9" orientation="portrait" r:id="rId1"/>
    </customSheetView>
  </customSheetViews>
  <dataValidations count="5">
    <dataValidation type="decimal" errorStyle="warning" allowBlank="1" showInputMessage="1" showErrorMessage="1" sqref="C5 G5" xr:uid="{9F6D95A4-BD2A-4357-8496-8C45F7945488}">
      <formula1>10</formula1>
      <formula2>10000</formula2>
    </dataValidation>
    <dataValidation type="decimal" allowBlank="1" showInputMessage="1" showErrorMessage="1" sqref="C6" xr:uid="{5CDDFE6C-C5B0-44BE-A6C7-004E06A7A7A9}">
      <formula1>0.05</formula1>
      <formula2>1000</formula2>
    </dataValidation>
    <dataValidation type="decimal" allowBlank="1" showInputMessage="1" showErrorMessage="1" sqref="C8 G8" xr:uid="{EC485547-D536-4EC4-9869-2AB8D8E79F3F}">
      <formula1>0.05</formula1>
      <formula2>500</formula2>
    </dataValidation>
    <dataValidation type="decimal" allowBlank="1" showInputMessage="1" showErrorMessage="1" sqref="C7 G7" xr:uid="{A322478E-C406-4B77-B8FB-7D11B8741985}">
      <formula1>0</formula1>
      <formula2>600</formula2>
    </dataValidation>
    <dataValidation type="decimal" allowBlank="1" showInputMessage="1" showErrorMessage="1" sqref="G6" xr:uid="{C422EE8F-E8AB-468C-B031-343C7D09D62C}">
      <formula1>0.05</formula1>
      <formula2>10000</formula2>
    </dataValidation>
  </dataValidations>
  <hyperlinks>
    <hyperlink ref="A22" r:id="rId2" xr:uid="{2542764B-011E-4269-9BC6-111E9A378988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76</vt:i4>
      </vt:variant>
    </vt:vector>
  </HeadingPairs>
  <TitlesOfParts>
    <vt:vector size="79" baseType="lpstr">
      <vt:lpstr>sandrau</vt:lpstr>
      <vt:lpstr>Teilfüllung</vt:lpstr>
      <vt:lpstr>Technisch</vt:lpstr>
      <vt:lpstr>A_11</vt:lpstr>
      <vt:lpstr>A_31</vt:lpstr>
      <vt:lpstr>A_34</vt:lpstr>
      <vt:lpstr>A_4</vt:lpstr>
      <vt:lpstr>A1_22</vt:lpstr>
      <vt:lpstr>A1_34</vt:lpstr>
      <vt:lpstr>A1_4</vt:lpstr>
      <vt:lpstr>B_11</vt:lpstr>
      <vt:lpstr>B_12</vt:lpstr>
      <vt:lpstr>B1_22</vt:lpstr>
      <vt:lpstr>B1_34</vt:lpstr>
      <vt:lpstr>B1_4</vt:lpstr>
      <vt:lpstr>C_11</vt:lpstr>
      <vt:lpstr>C_34</vt:lpstr>
      <vt:lpstr>C_35</vt:lpstr>
      <vt:lpstr>C_4</vt:lpstr>
      <vt:lpstr>C_43</vt:lpstr>
      <vt:lpstr>C_44</vt:lpstr>
      <vt:lpstr>C_45</vt:lpstr>
      <vt:lpstr>D</vt:lpstr>
      <vt:lpstr>D_12</vt:lpstr>
      <vt:lpstr>D_22</vt:lpstr>
      <vt:lpstr>D_4</vt:lpstr>
      <vt:lpstr>dkr_22</vt:lpstr>
      <vt:lpstr>Dr_m</vt:lpstr>
      <vt:lpstr>dzk_22</vt:lpstr>
      <vt:lpstr>F_22</vt:lpstr>
      <vt:lpstr>F_24</vt:lpstr>
      <vt:lpstr>FFr_4</vt:lpstr>
      <vt:lpstr>Fkr_1</vt:lpstr>
      <vt:lpstr>FKR_11</vt:lpstr>
      <vt:lpstr>Fkr_12</vt:lpstr>
      <vt:lpstr>Fkr_22</vt:lpstr>
      <vt:lpstr>Fkr_4</vt:lpstr>
      <vt:lpstr>FS_22</vt:lpstr>
      <vt:lpstr>IS_0</vt:lpstr>
      <vt:lpstr>ISO</vt:lpstr>
      <vt:lpstr>ISO_4</vt:lpstr>
      <vt:lpstr>J_11</vt:lpstr>
      <vt:lpstr>J1_34</vt:lpstr>
      <vt:lpstr>J1_4</vt:lpstr>
      <vt:lpstr>K_12</vt:lpstr>
      <vt:lpstr>K_4</vt:lpstr>
      <vt:lpstr>kmm</vt:lpstr>
      <vt:lpstr>kmm_22</vt:lpstr>
      <vt:lpstr>Lambda</vt:lpstr>
      <vt:lpstr>Ny</vt:lpstr>
      <vt:lpstr>NY_12</vt:lpstr>
      <vt:lpstr>Ny_22</vt:lpstr>
      <vt:lpstr>NY_4</vt:lpstr>
      <vt:lpstr>Ny_m</vt:lpstr>
      <vt:lpstr>ph_35</vt:lpstr>
      <vt:lpstr>ph_36</vt:lpstr>
      <vt:lpstr>PH_37</vt:lpstr>
      <vt:lpstr>PHi_35</vt:lpstr>
      <vt:lpstr>PHI_36</vt:lpstr>
      <vt:lpstr>Phi_4</vt:lpstr>
      <vt:lpstr>Q</vt:lpstr>
      <vt:lpstr>Q_12</vt:lpstr>
      <vt:lpstr>Q_22</vt:lpstr>
      <vt:lpstr>r_22</vt:lpstr>
      <vt:lpstr>R_24</vt:lpstr>
      <vt:lpstr>RE_12</vt:lpstr>
      <vt:lpstr>RE_35</vt:lpstr>
      <vt:lpstr>RE_4</vt:lpstr>
      <vt:lpstr>RE_44</vt:lpstr>
      <vt:lpstr>Ro1_22</vt:lpstr>
      <vt:lpstr>RO2_22</vt:lpstr>
      <vt:lpstr>RO3_22</vt:lpstr>
      <vt:lpstr>Ro4_22</vt:lpstr>
      <vt:lpstr>RO4_24</vt:lpstr>
      <vt:lpstr>v</vt:lpstr>
      <vt:lpstr>v_12</vt:lpstr>
      <vt:lpstr>v_22</vt:lpstr>
      <vt:lpstr>vv_34</vt:lpstr>
      <vt:lpstr>vv_4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info@computer73.de</dc:creator>
  <cp:lastModifiedBy>info@computer73.de</cp:lastModifiedBy>
  <cp:lastPrinted>2025-02-18T16:19:16Z</cp:lastPrinted>
  <dcterms:created xsi:type="dcterms:W3CDTF">2025-02-17T09:21:39Z</dcterms:created>
  <dcterms:modified xsi:type="dcterms:W3CDTF">2025-02-21T08:55:33Z</dcterms:modified>
</cp:coreProperties>
</file>